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3835" windowHeight="1048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Sheet1!$A$2:$V$20</definedName>
  </definedNames>
  <calcPr calcId="145621"/>
</workbook>
</file>

<file path=xl/calcChain.xml><?xml version="1.0" encoding="utf-8"?>
<calcChain xmlns="http://schemas.openxmlformats.org/spreadsheetml/2006/main">
  <c r="G11" i="1" l="1"/>
  <c r="L11" i="1"/>
  <c r="Q11" i="1"/>
  <c r="AA11" i="1"/>
  <c r="V11" i="1"/>
  <c r="AA17" i="1"/>
  <c r="Z11" i="1"/>
  <c r="Z10" i="1"/>
  <c r="Z9" i="1"/>
  <c r="Z8" i="1"/>
  <c r="Z7" i="1"/>
  <c r="Z6" i="1"/>
  <c r="Z5" i="1"/>
  <c r="Z4" i="1"/>
  <c r="Y11" i="1" l="1"/>
  <c r="Y7" i="1"/>
  <c r="Y6" i="1"/>
  <c r="X11" i="1" l="1"/>
  <c r="X7" i="1"/>
  <c r="X6" i="1"/>
  <c r="U6" i="1" l="1"/>
  <c r="W11" i="1" l="1"/>
  <c r="W7" i="1"/>
  <c r="W6" i="1"/>
  <c r="AA6" i="1" s="1"/>
  <c r="Y19" i="1"/>
  <c r="X19" i="1"/>
  <c r="W19" i="1"/>
  <c r="Y18" i="1"/>
  <c r="X18" i="1"/>
  <c r="W18" i="1"/>
  <c r="Z17" i="1"/>
  <c r="Y17" i="1"/>
  <c r="X17" i="1"/>
  <c r="W17" i="1"/>
  <c r="AA10" i="1"/>
  <c r="AA19" i="1" s="1"/>
  <c r="AA9" i="1"/>
  <c r="AA8" i="1"/>
  <c r="AA7" i="1"/>
  <c r="AA5" i="1"/>
  <c r="AA4" i="1"/>
  <c r="Z3" i="1"/>
  <c r="Z12" i="1" s="1"/>
  <c r="Y3" i="1"/>
  <c r="Y13" i="1" s="1"/>
  <c r="X3" i="1"/>
  <c r="X12" i="1" s="1"/>
  <c r="W3" i="1"/>
  <c r="W13" i="1" s="1"/>
  <c r="AA3" i="1" l="1"/>
  <c r="AA12" i="1" s="1"/>
  <c r="X13" i="1"/>
  <c r="Y12" i="1"/>
  <c r="Z13" i="1"/>
  <c r="W12" i="1"/>
  <c r="AA13" i="1"/>
  <c r="AA18" i="1"/>
  <c r="V18" i="1"/>
  <c r="U11" i="1"/>
  <c r="T11" i="1" l="1"/>
  <c r="T7" i="1"/>
  <c r="T6" i="1"/>
  <c r="S18" i="1" l="1"/>
  <c r="S11" i="1"/>
  <c r="S7" i="1"/>
  <c r="S6" i="1"/>
  <c r="V9" i="1" l="1"/>
  <c r="R7" i="1"/>
  <c r="R6" i="1"/>
  <c r="U3" i="1"/>
  <c r="T3" i="1"/>
  <c r="T13" i="1" s="1"/>
  <c r="S3" i="1"/>
  <c r="S13" i="1" s="1"/>
  <c r="R3" i="1"/>
  <c r="R11" i="1"/>
  <c r="V10" i="1"/>
  <c r="V8" i="1"/>
  <c r="V7" i="1"/>
  <c r="V6" i="1"/>
  <c r="V5" i="1"/>
  <c r="V4" i="1"/>
  <c r="U13" i="1"/>
  <c r="R13" i="1"/>
  <c r="U12" i="1"/>
  <c r="S12" i="1"/>
  <c r="R12" i="1"/>
  <c r="T19" i="1"/>
  <c r="S19" i="1"/>
  <c r="R19" i="1"/>
  <c r="T18" i="1"/>
  <c r="R18" i="1"/>
  <c r="U17" i="1"/>
  <c r="T17" i="1"/>
  <c r="S17" i="1"/>
  <c r="R17" i="1"/>
  <c r="O18" i="1"/>
  <c r="Q15" i="1"/>
  <c r="Q10" i="1"/>
  <c r="Q9" i="1"/>
  <c r="Q8" i="1"/>
  <c r="Q7" i="1"/>
  <c r="Q6" i="1"/>
  <c r="Q5" i="1"/>
  <c r="P11" i="1"/>
  <c r="O11" i="1"/>
  <c r="O7" i="1"/>
  <c r="O6" i="1"/>
  <c r="V19" i="1" l="1"/>
  <c r="V13" i="1"/>
  <c r="T12" i="1"/>
  <c r="V3" i="1"/>
  <c r="V12" i="1" s="1"/>
  <c r="Q19" i="1"/>
  <c r="O19" i="1"/>
  <c r="N19" i="1"/>
  <c r="M19" i="1"/>
  <c r="Q18" i="1"/>
  <c r="N18" i="1"/>
  <c r="M18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L19" i="1"/>
  <c r="G19" i="1"/>
  <c r="L18" i="1"/>
  <c r="G18" i="1"/>
  <c r="J18" i="1"/>
  <c r="I18" i="1"/>
  <c r="H18" i="1"/>
  <c r="E18" i="1"/>
  <c r="D18" i="1"/>
  <c r="C18" i="1"/>
  <c r="J19" i="1"/>
  <c r="I19" i="1"/>
  <c r="H19" i="1"/>
  <c r="N13" i="1"/>
  <c r="M13" i="1"/>
  <c r="L13" i="1"/>
  <c r="K13" i="1"/>
  <c r="J13" i="1"/>
  <c r="I13" i="1"/>
  <c r="H13" i="1"/>
  <c r="G13" i="1"/>
  <c r="F13" i="1"/>
  <c r="E13" i="1"/>
  <c r="D13" i="1"/>
  <c r="C13" i="1"/>
  <c r="O3" i="1"/>
  <c r="O13" i="1" s="1"/>
  <c r="N3" i="1"/>
  <c r="M3" i="1"/>
  <c r="L3" i="1"/>
  <c r="K3" i="1"/>
  <c r="J3" i="1"/>
  <c r="I3" i="1"/>
  <c r="H3" i="1"/>
  <c r="G3" i="1"/>
  <c r="F3" i="1"/>
  <c r="E3" i="1"/>
  <c r="D3" i="1"/>
  <c r="C3" i="1"/>
  <c r="C12" i="1" s="1"/>
  <c r="L12" i="1"/>
  <c r="N12" i="1"/>
  <c r="M12" i="1"/>
  <c r="K12" i="1"/>
  <c r="J12" i="1"/>
  <c r="I12" i="1"/>
  <c r="H12" i="1"/>
  <c r="G12" i="1"/>
  <c r="F12" i="1"/>
  <c r="E12" i="1"/>
  <c r="D12" i="1"/>
  <c r="O12" i="1" l="1"/>
  <c r="P3" i="1"/>
  <c r="P13" i="1" s="1"/>
  <c r="Q4" i="1"/>
  <c r="Q3" i="1" l="1"/>
  <c r="Q12" i="1"/>
  <c r="Q13" i="1"/>
  <c r="P12" i="1"/>
</calcChain>
</file>

<file path=xl/sharedStrings.xml><?xml version="1.0" encoding="utf-8"?>
<sst xmlns="http://schemas.openxmlformats.org/spreadsheetml/2006/main" count="46" uniqueCount="46">
  <si>
    <t>(M€)</t>
  </si>
  <si>
    <t>1ºTrim 2009</t>
  </si>
  <si>
    <t>2ºTrim 2009</t>
  </si>
  <si>
    <t>3ºTrim 2009</t>
  </si>
  <si>
    <t>4ºTrim 2009</t>
  </si>
  <si>
    <t>TOTAL 2009</t>
  </si>
  <si>
    <t>1ºTrim 2010</t>
  </si>
  <si>
    <t>2ºTrim 2010</t>
  </si>
  <si>
    <t>3ºTrim 2010</t>
  </si>
  <si>
    <t>4ºTrim 2010</t>
  </si>
  <si>
    <t>TOTAL 2010</t>
  </si>
  <si>
    <t>1ºTrim 2011</t>
  </si>
  <si>
    <t>TOTAL 2011</t>
  </si>
  <si>
    <t>Vendas</t>
  </si>
  <si>
    <t>Produtos</t>
  </si>
  <si>
    <t>Serviços</t>
  </si>
  <si>
    <t>Custo das Vendas+Subcontratos</t>
  </si>
  <si>
    <t>Custos com pessoal e FSE</t>
  </si>
  <si>
    <t>EBITDA</t>
  </si>
  <si>
    <t>Financeiros</t>
  </si>
  <si>
    <t>Resultado Liquido</t>
  </si>
  <si>
    <t>Empréstimos</t>
  </si>
  <si>
    <t>EBITDA/Vendas</t>
  </si>
  <si>
    <t>Res.Liq/Vendas</t>
  </si>
  <si>
    <t>Nº Acções</t>
  </si>
  <si>
    <t>Data apresentação</t>
  </si>
  <si>
    <t>Cotação dia apresentação</t>
  </si>
  <si>
    <t>Valor em bolsa</t>
  </si>
  <si>
    <t>P/E Projectado ano</t>
  </si>
  <si>
    <t>P/E 4 ultimos trimestres</t>
  </si>
  <si>
    <t>Incorporação de 1,8M€ volume negócios e 0,5M€ Resultado liquido empresas adquiridas em Espanha</t>
  </si>
  <si>
    <t>Incorporação de 3,3M€ volume negócios e 0,7M€ Resultado liquido empresas adquiridas em Espanha</t>
  </si>
  <si>
    <t>Incorporação de 4,9M€ volume negócios e 0,9M€ Resultado liquido empresas adquiridas em Espanha</t>
  </si>
  <si>
    <t>2ºTrim 2011</t>
  </si>
  <si>
    <t>TOTAL 2012</t>
  </si>
  <si>
    <t>3ºTrim 2011</t>
  </si>
  <si>
    <t>4ºTrim 2011</t>
  </si>
  <si>
    <t>1ºTrim 2012</t>
  </si>
  <si>
    <t>2ºTrim 2012</t>
  </si>
  <si>
    <t>3ºTrim 2012</t>
  </si>
  <si>
    <t>4ºTrim 2012</t>
  </si>
  <si>
    <t>1ºTrim 2013</t>
  </si>
  <si>
    <t>2ºTrim 2013</t>
  </si>
  <si>
    <t>3ºTrim 2013</t>
  </si>
  <si>
    <t>4ºTrim 2013</t>
  </si>
  <si>
    <t>TOTAL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</si>
</sst>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3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/>
    <xf numFmtId="164" fontId="2" fillId="0" borderId="0" xfId="0" applyNumberFormat="1" applyFont="1"/>
    <xf numFmtId="164" fontId="2" fillId="2" borderId="0" xfId="0" applyNumberFormat="1" applyFont="1" applyFill="1"/>
    <xf numFmtId="10" fontId="2" fillId="0" borderId="0" xfId="0" applyNumberFormat="1" applyFont="1"/>
    <xf numFmtId="10" fontId="2" fillId="2" borderId="0" xfId="0" applyNumberFormat="1" applyFont="1" applyFill="1"/>
    <xf numFmtId="3" fontId="2" fillId="0" borderId="0" xfId="0" applyNumberFormat="1" applyFont="1"/>
    <xf numFmtId="3" fontId="2" fillId="2" borderId="0" xfId="0" applyNumberFormat="1" applyFont="1" applyFill="1"/>
    <xf numFmtId="14" fontId="2" fillId="0" borderId="0" xfId="0" applyNumberFormat="1" applyFont="1"/>
    <xf numFmtId="14" fontId="2" fillId="2" borderId="0" xfId="0" applyNumberFormat="1" applyFont="1" applyFill="1"/>
    <xf numFmtId="0" fontId="2" fillId="2" borderId="0" xfId="0" applyFont="1" applyFill="1"/>
    <xf numFmtId="2" fontId="2" fillId="0" borderId="0" xfId="0" applyNumberFormat="1" applyFont="1"/>
    <xf numFmtId="2" fontId="2" fillId="2" borderId="0" xfId="0" applyNumberFormat="1" applyFont="1" applyFill="1"/>
    <xf numFmtId="0" fontId="1" fillId="0" borderId="0" xfId="0" applyFont="1" applyAlignment="1">
      <alignment vertical="justify"/>
    </xf>
    <xf numFmtId="0" fontId="2" fillId="0" borderId="0" xfId="0" applyFont="1" applyAlignment="1">
      <alignment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A20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G11" sqref="G11"/>
    </sheetView>
  </sheetViews>
  <sheetFormatPr defaultRowHeight="12" outlineLevelCol="1" x14ac:dyDescent="0.2"/>
  <cols>
    <col min="1" max="1" width="23.7109375" style="3" bestFit="1" customWidth="1"/>
    <col min="2" max="2" width="1.7109375" style="3" customWidth="1"/>
    <col min="3" max="6" width="9.7109375" style="3" hidden="1" customWidth="1" outlineLevel="1"/>
    <col min="7" max="7" width="9.42578125" style="3" bestFit="1" customWidth="1" collapsed="1"/>
    <col min="8" max="8" width="9.7109375" style="3" hidden="1" customWidth="1" outlineLevel="1"/>
    <col min="9" max="9" width="12.42578125" style="3" hidden="1" customWidth="1" outlineLevel="1"/>
    <col min="10" max="11" width="11.140625" style="3" hidden="1" customWidth="1" outlineLevel="1"/>
    <col min="12" max="12" width="9.42578125" style="3" bestFit="1" customWidth="1" collapsed="1"/>
    <col min="13" max="16" width="9.7109375" style="3" hidden="1" customWidth="1" outlineLevel="1"/>
    <col min="17" max="17" width="9.42578125" style="3" bestFit="1" customWidth="1" collapsed="1"/>
    <col min="18" max="21" width="9.7109375" style="3" bestFit="1" customWidth="1" outlineLevel="1"/>
    <col min="22" max="22" width="9.42578125" style="3" bestFit="1" customWidth="1"/>
    <col min="23" max="24" width="9.7109375" style="3" bestFit="1" customWidth="1" outlineLevel="1"/>
    <col min="25" max="25" width="10.42578125" style="3" bestFit="1" customWidth="1" outlineLevel="1"/>
    <col min="26" max="26" width="9.7109375" style="3" bestFit="1" customWidth="1" outlineLevel="1"/>
    <col min="27" max="27" width="9.42578125" style="3" bestFit="1" customWidth="1"/>
    <col min="28" max="16384" width="9.140625" style="3"/>
  </cols>
  <sheetData>
    <row r="2" spans="1:27" s="1" customFormat="1" x14ac:dyDescent="0.2">
      <c r="A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2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2" t="s">
        <v>10</v>
      </c>
      <c r="M2" s="1" t="s">
        <v>11</v>
      </c>
      <c r="N2" s="1" t="s">
        <v>33</v>
      </c>
      <c r="O2" s="1" t="s">
        <v>35</v>
      </c>
      <c r="P2" s="1" t="s">
        <v>36</v>
      </c>
      <c r="Q2" s="2" t="s">
        <v>12</v>
      </c>
      <c r="R2" s="1" t="s">
        <v>37</v>
      </c>
      <c r="S2" s="1" t="s">
        <v>38</v>
      </c>
      <c r="T2" s="1" t="s">
        <v>39</v>
      </c>
      <c r="U2" s="1" t="s">
        <v>40</v>
      </c>
      <c r="V2" s="2" t="s">
        <v>34</v>
      </c>
      <c r="W2" s="1" t="s">
        <v>41</v>
      </c>
      <c r="X2" s="1" t="s">
        <v>42</v>
      </c>
      <c r="Y2" s="1" t="s">
        <v>43</v>
      </c>
      <c r="Z2" s="1" t="s">
        <v>44</v>
      </c>
      <c r="AA2" s="2" t="s">
        <v>45</v>
      </c>
    </row>
    <row r="3" spans="1:27" x14ac:dyDescent="0.2">
      <c r="A3" s="1" t="s">
        <v>13</v>
      </c>
      <c r="C3" s="4">
        <f>+C4+C5</f>
        <v>26679</v>
      </c>
      <c r="D3" s="4">
        <f t="shared" ref="D3:Q3" si="0">+D4+D5</f>
        <v>28161</v>
      </c>
      <c r="E3" s="4">
        <f t="shared" si="0"/>
        <v>25033</v>
      </c>
      <c r="F3" s="4">
        <f t="shared" si="0"/>
        <v>35541</v>
      </c>
      <c r="G3" s="5">
        <f t="shared" si="0"/>
        <v>115414</v>
      </c>
      <c r="H3" s="4">
        <f t="shared" si="0"/>
        <v>25149</v>
      </c>
      <c r="I3" s="4">
        <f t="shared" si="0"/>
        <v>29239</v>
      </c>
      <c r="J3" s="4">
        <f t="shared" si="0"/>
        <v>28296</v>
      </c>
      <c r="K3" s="4">
        <f t="shared" si="0"/>
        <v>28882</v>
      </c>
      <c r="L3" s="5">
        <f t="shared" si="0"/>
        <v>111566</v>
      </c>
      <c r="M3" s="4">
        <f t="shared" si="0"/>
        <v>23624</v>
      </c>
      <c r="N3" s="4">
        <f t="shared" si="0"/>
        <v>24160</v>
      </c>
      <c r="O3" s="4">
        <f t="shared" si="0"/>
        <v>22507.188999999998</v>
      </c>
      <c r="P3" s="4">
        <f t="shared" si="0"/>
        <v>24173.008000000009</v>
      </c>
      <c r="Q3" s="5">
        <f t="shared" si="0"/>
        <v>94464.197000000015</v>
      </c>
      <c r="R3" s="4">
        <f t="shared" ref="R3" si="1">+R4+R5</f>
        <v>23122.976999999999</v>
      </c>
      <c r="S3" s="4">
        <f t="shared" ref="S3" si="2">+S4+S5</f>
        <v>21972.892</v>
      </c>
      <c r="T3" s="4">
        <f t="shared" ref="T3" si="3">+T4+T5</f>
        <v>22807.330999999998</v>
      </c>
      <c r="U3" s="4">
        <f t="shared" ref="U3" si="4">+U4+U5</f>
        <v>23220.313000000002</v>
      </c>
      <c r="V3" s="5">
        <f t="shared" ref="V3:Z3" si="5">+V4+V5</f>
        <v>91123.513000000006</v>
      </c>
      <c r="W3" s="4">
        <f t="shared" si="5"/>
        <v>20814.433999999997</v>
      </c>
      <c r="X3" s="4">
        <f t="shared" si="5"/>
        <v>19662.076000000001</v>
      </c>
      <c r="Y3" s="4">
        <f t="shared" si="5"/>
        <v>22042.444</v>
      </c>
      <c r="Z3" s="4">
        <f t="shared" si="5"/>
        <v>23482.467999999997</v>
      </c>
      <c r="AA3" s="5">
        <f t="shared" ref="AA3" si="6">+AA4+AA5</f>
        <v>86001.421999999991</v>
      </c>
    </row>
    <row r="4" spans="1:27" x14ac:dyDescent="0.2">
      <c r="A4" s="1" t="s">
        <v>14</v>
      </c>
      <c r="C4" s="4">
        <v>8527</v>
      </c>
      <c r="D4" s="4">
        <v>8348</v>
      </c>
      <c r="E4" s="4">
        <v>7709</v>
      </c>
      <c r="F4" s="4">
        <v>12430</v>
      </c>
      <c r="G4" s="5">
        <v>37014</v>
      </c>
      <c r="H4" s="4">
        <v>6968</v>
      </c>
      <c r="I4" s="4">
        <v>7788</v>
      </c>
      <c r="J4" s="4">
        <v>7351</v>
      </c>
      <c r="K4" s="4">
        <v>8601</v>
      </c>
      <c r="L4" s="5">
        <v>30708</v>
      </c>
      <c r="M4" s="4">
        <v>4980</v>
      </c>
      <c r="N4" s="4">
        <v>5651</v>
      </c>
      <c r="O4" s="4">
        <v>4483.5469999999996</v>
      </c>
      <c r="P4" s="4">
        <v>4896.0610000000015</v>
      </c>
      <c r="Q4" s="5">
        <f t="shared" ref="Q4:Q10" si="7">SUM(M4:P4)</f>
        <v>20010.608</v>
      </c>
      <c r="R4" s="4">
        <v>5673.2330000000002</v>
      </c>
      <c r="S4" s="4">
        <v>5017.8639999999996</v>
      </c>
      <c r="T4" s="4">
        <v>5986.857</v>
      </c>
      <c r="U4" s="4">
        <v>5646.7790000000023</v>
      </c>
      <c r="V4" s="5">
        <f t="shared" ref="V4:V10" si="8">SUM(R4:U4)</f>
        <v>22324.733</v>
      </c>
      <c r="W4" s="4">
        <v>3878.4940000000001</v>
      </c>
      <c r="X4" s="4">
        <v>3639.7829999999999</v>
      </c>
      <c r="Y4" s="4">
        <v>5566.4579999999996</v>
      </c>
      <c r="Z4" s="4">
        <f>19088.581-W4-X4-Y4</f>
        <v>6003.8459999999986</v>
      </c>
      <c r="AA4" s="5">
        <f t="shared" ref="AA4:AA10" si="9">SUM(W4:Z4)</f>
        <v>19088.580999999998</v>
      </c>
    </row>
    <row r="5" spans="1:27" x14ac:dyDescent="0.2">
      <c r="A5" s="1" t="s">
        <v>15</v>
      </c>
      <c r="C5" s="4">
        <v>18152</v>
      </c>
      <c r="D5" s="4">
        <v>19813</v>
      </c>
      <c r="E5" s="4">
        <v>17324</v>
      </c>
      <c r="F5" s="4">
        <v>23111</v>
      </c>
      <c r="G5" s="5">
        <v>78400</v>
      </c>
      <c r="H5" s="4">
        <v>18181</v>
      </c>
      <c r="I5" s="4">
        <v>21451</v>
      </c>
      <c r="J5" s="4">
        <v>20945</v>
      </c>
      <c r="K5" s="4">
        <v>20281</v>
      </c>
      <c r="L5" s="5">
        <v>80858</v>
      </c>
      <c r="M5" s="4">
        <v>18644</v>
      </c>
      <c r="N5" s="4">
        <v>18509</v>
      </c>
      <c r="O5" s="4">
        <v>18023.642</v>
      </c>
      <c r="P5" s="4">
        <v>19276.947000000007</v>
      </c>
      <c r="Q5" s="5">
        <f t="shared" si="7"/>
        <v>74453.589000000007</v>
      </c>
      <c r="R5" s="4">
        <v>17449.743999999999</v>
      </c>
      <c r="S5" s="4">
        <v>16955.027999999998</v>
      </c>
      <c r="T5" s="4">
        <v>16820.473999999998</v>
      </c>
      <c r="U5" s="4">
        <v>17573.534</v>
      </c>
      <c r="V5" s="5">
        <f t="shared" si="8"/>
        <v>68798.78</v>
      </c>
      <c r="W5" s="4">
        <v>16935.939999999999</v>
      </c>
      <c r="X5" s="4">
        <v>16022.293</v>
      </c>
      <c r="Y5" s="4">
        <v>16475.986000000001</v>
      </c>
      <c r="Z5" s="4">
        <f>66912.841-W5-X5-Y5</f>
        <v>17478.621999999999</v>
      </c>
      <c r="AA5" s="5">
        <f t="shared" si="9"/>
        <v>66912.841</v>
      </c>
    </row>
    <row r="6" spans="1:27" x14ac:dyDescent="0.2">
      <c r="A6" s="1" t="s">
        <v>16</v>
      </c>
      <c r="C6" s="4">
        <v>-12549</v>
      </c>
      <c r="D6" s="4">
        <v>-12795</v>
      </c>
      <c r="E6" s="4">
        <v>-11253</v>
      </c>
      <c r="F6" s="4">
        <v>-20116</v>
      </c>
      <c r="G6" s="5">
        <v>-56712</v>
      </c>
      <c r="H6" s="4">
        <v>-11200</v>
      </c>
      <c r="I6" s="4">
        <v>-12635</v>
      </c>
      <c r="J6" s="4">
        <v>-12610</v>
      </c>
      <c r="K6" s="4">
        <v>-12262</v>
      </c>
      <c r="L6" s="5">
        <v>-48707</v>
      </c>
      <c r="M6" s="4">
        <v>-8799</v>
      </c>
      <c r="N6" s="4">
        <v>-9488</v>
      </c>
      <c r="O6" s="4">
        <f>-3287.021-5041.748</f>
        <v>-8328.7690000000002</v>
      </c>
      <c r="P6" s="4">
        <v>-8745.5740000000005</v>
      </c>
      <c r="Q6" s="5">
        <f t="shared" si="7"/>
        <v>-35361.343000000001</v>
      </c>
      <c r="R6" s="4">
        <f>-3969.717-4249.37</f>
        <v>-8219.0869999999995</v>
      </c>
      <c r="S6" s="4">
        <f>-3423.564-4039.153</f>
        <v>-7462.7169999999996</v>
      </c>
      <c r="T6" s="4">
        <f>-4380.733-3620.228</f>
        <v>-8000.9610000000002</v>
      </c>
      <c r="U6" s="4">
        <f>-16065.18-15322.036-SUM(R6:T6)</f>
        <v>-7704.4510000000009</v>
      </c>
      <c r="V6" s="5">
        <f t="shared" si="8"/>
        <v>-31387.216</v>
      </c>
      <c r="W6" s="4">
        <f>-2869.569-4179.317</f>
        <v>-7048.8860000000004</v>
      </c>
      <c r="X6" s="4">
        <f>-2541.956-3469.434</f>
        <v>-6011.39</v>
      </c>
      <c r="Y6" s="4">
        <f>-3499.372-4180.748</f>
        <v>-7680.119999999999</v>
      </c>
      <c r="Z6" s="4">
        <f>-13271.627-15850.787-W6-X6-Y6</f>
        <v>-8382.018</v>
      </c>
      <c r="AA6" s="5">
        <f t="shared" si="9"/>
        <v>-29122.414000000001</v>
      </c>
    </row>
    <row r="7" spans="1:27" x14ac:dyDescent="0.2">
      <c r="A7" s="1" t="s">
        <v>17</v>
      </c>
      <c r="C7" s="4">
        <v>-12360</v>
      </c>
      <c r="D7" s="4">
        <v>-13127</v>
      </c>
      <c r="E7" s="4">
        <v>-12613</v>
      </c>
      <c r="F7" s="4">
        <v>-14164</v>
      </c>
      <c r="G7" s="5">
        <v>-52264</v>
      </c>
      <c r="H7" s="4">
        <v>-12249</v>
      </c>
      <c r="I7" s="4">
        <v>-14056</v>
      </c>
      <c r="J7" s="4">
        <v>-13400</v>
      </c>
      <c r="K7" s="4">
        <v>-15551</v>
      </c>
      <c r="L7" s="5">
        <v>-55256</v>
      </c>
      <c r="M7" s="4">
        <v>-13386</v>
      </c>
      <c r="N7" s="4">
        <v>-13096</v>
      </c>
      <c r="O7" s="4">
        <f>-3050.617-10354.454</f>
        <v>-13405.071</v>
      </c>
      <c r="P7" s="4">
        <v>-14641.503000000004</v>
      </c>
      <c r="Q7" s="5">
        <f t="shared" si="7"/>
        <v>-54528.574000000001</v>
      </c>
      <c r="R7" s="4">
        <f>-3057.579-10418.698</f>
        <v>-13476.277</v>
      </c>
      <c r="S7" s="4">
        <f>-3139.427-9831.385</f>
        <v>-12970.812</v>
      </c>
      <c r="T7" s="4">
        <f>-3117.062-9973.152</f>
        <v>-13090.214</v>
      </c>
      <c r="U7" s="4">
        <v>-12764.235999999997</v>
      </c>
      <c r="V7" s="5">
        <f t="shared" si="8"/>
        <v>-52301.538999999997</v>
      </c>
      <c r="W7" s="4">
        <f>-2789.764-9359.053</f>
        <v>-12148.816999999999</v>
      </c>
      <c r="X7" s="4">
        <f>-2797.82-9980.699</f>
        <v>-12778.519</v>
      </c>
      <c r="Y7" s="4">
        <f>-3033.799-9833.224</f>
        <v>-12867.023000000001</v>
      </c>
      <c r="Z7" s="4">
        <f>-12105.216-39635.745-W7-X7-Y7</f>
        <v>-13946.601999999999</v>
      </c>
      <c r="AA7" s="5">
        <f t="shared" si="9"/>
        <v>-51740.960999999996</v>
      </c>
    </row>
    <row r="8" spans="1:27" x14ac:dyDescent="0.2">
      <c r="A8" s="1" t="s">
        <v>18</v>
      </c>
      <c r="C8" s="4">
        <v>2283</v>
      </c>
      <c r="D8" s="4">
        <v>2757</v>
      </c>
      <c r="E8" s="4">
        <v>1318</v>
      </c>
      <c r="F8" s="4">
        <v>1896</v>
      </c>
      <c r="G8" s="5">
        <v>8254</v>
      </c>
      <c r="H8" s="4">
        <v>1839</v>
      </c>
      <c r="I8" s="4">
        <v>2593</v>
      </c>
      <c r="J8" s="4">
        <v>2047</v>
      </c>
      <c r="K8" s="4">
        <v>1382</v>
      </c>
      <c r="L8" s="5">
        <v>7861</v>
      </c>
      <c r="M8" s="4">
        <v>1646</v>
      </c>
      <c r="N8" s="4">
        <v>1771</v>
      </c>
      <c r="O8" s="4">
        <v>1581.338</v>
      </c>
      <c r="P8" s="4">
        <v>2503.54</v>
      </c>
      <c r="Q8" s="5">
        <f t="shared" si="7"/>
        <v>7501.8779999999997</v>
      </c>
      <c r="R8" s="4">
        <v>1886.07</v>
      </c>
      <c r="S8" s="4">
        <v>1772.68</v>
      </c>
      <c r="T8" s="4">
        <v>1951.3409999999999</v>
      </c>
      <c r="U8" s="4">
        <v>2587.19</v>
      </c>
      <c r="V8" s="5">
        <f t="shared" si="8"/>
        <v>8197.2810000000009</v>
      </c>
      <c r="W8" s="4">
        <v>1918.01</v>
      </c>
      <c r="X8" s="4">
        <v>1768.8420000000001</v>
      </c>
      <c r="Y8" s="4">
        <v>1963.585</v>
      </c>
      <c r="Z8" s="4">
        <f>8244.233-W8-X8-Y8</f>
        <v>2593.7959999999994</v>
      </c>
      <c r="AA8" s="5">
        <f t="shared" si="9"/>
        <v>8244.2330000000002</v>
      </c>
    </row>
    <row r="9" spans="1:27" x14ac:dyDescent="0.2">
      <c r="A9" s="1" t="s">
        <v>19</v>
      </c>
      <c r="C9" s="4">
        <v>-447</v>
      </c>
      <c r="D9" s="4">
        <v>-269</v>
      </c>
      <c r="E9" s="4">
        <v>-219</v>
      </c>
      <c r="F9" s="4">
        <v>-82</v>
      </c>
      <c r="G9" s="5">
        <v>-1017</v>
      </c>
      <c r="H9" s="4">
        <v>-190</v>
      </c>
      <c r="I9" s="4">
        <v>-547</v>
      </c>
      <c r="J9" s="4">
        <v>-638</v>
      </c>
      <c r="K9" s="4">
        <v>-599</v>
      </c>
      <c r="L9" s="5">
        <v>-1972</v>
      </c>
      <c r="M9" s="4">
        <v>-579</v>
      </c>
      <c r="N9" s="4">
        <v>-588</v>
      </c>
      <c r="O9" s="4">
        <v>-747.76300000000003</v>
      </c>
      <c r="P9" s="4">
        <v>-943.66899999999987</v>
      </c>
      <c r="Q9" s="5">
        <f t="shared" si="7"/>
        <v>-2858.4319999999998</v>
      </c>
      <c r="R9" s="4">
        <v>-916.85400000000004</v>
      </c>
      <c r="S9" s="4">
        <v>-793.76499999999999</v>
      </c>
      <c r="T9" s="4">
        <v>-865.41</v>
      </c>
      <c r="U9" s="4">
        <v>-870.26499999999987</v>
      </c>
      <c r="V9" s="5">
        <f t="shared" si="8"/>
        <v>-3446.2939999999999</v>
      </c>
      <c r="W9" s="4">
        <v>-748.67600000000004</v>
      </c>
      <c r="X9" s="4">
        <v>-705.95799999999997</v>
      </c>
      <c r="Y9" s="4">
        <v>-660.64400000000001</v>
      </c>
      <c r="Z9" s="4">
        <f>-3421.52-W9-X9-Y9</f>
        <v>-1306.242</v>
      </c>
      <c r="AA9" s="5">
        <f t="shared" si="9"/>
        <v>-3421.5200000000004</v>
      </c>
    </row>
    <row r="10" spans="1:27" x14ac:dyDescent="0.2">
      <c r="A10" s="1" t="s">
        <v>20</v>
      </c>
      <c r="C10" s="4">
        <v>806</v>
      </c>
      <c r="D10" s="4">
        <v>1324</v>
      </c>
      <c r="E10" s="4">
        <v>306</v>
      </c>
      <c r="F10" s="4">
        <v>654</v>
      </c>
      <c r="G10" s="5">
        <v>3089</v>
      </c>
      <c r="H10" s="4">
        <v>943</v>
      </c>
      <c r="I10" s="4">
        <v>1062</v>
      </c>
      <c r="J10" s="4">
        <v>988</v>
      </c>
      <c r="K10" s="4">
        <v>613</v>
      </c>
      <c r="L10" s="5">
        <v>3606</v>
      </c>
      <c r="M10" s="4">
        <v>266</v>
      </c>
      <c r="N10" s="4">
        <v>342</v>
      </c>
      <c r="O10" s="4">
        <v>70.009</v>
      </c>
      <c r="P10" s="4">
        <v>380.09300000000007</v>
      </c>
      <c r="Q10" s="5">
        <f t="shared" si="7"/>
        <v>1058.1020000000001</v>
      </c>
      <c r="R10" s="4">
        <v>267.92399999999998</v>
      </c>
      <c r="S10" s="4">
        <v>355.09</v>
      </c>
      <c r="T10" s="4">
        <v>109.9</v>
      </c>
      <c r="U10" s="4">
        <v>514.15900000000022</v>
      </c>
      <c r="V10" s="5">
        <f t="shared" si="8"/>
        <v>1247.0730000000001</v>
      </c>
      <c r="W10" s="4">
        <v>286.834</v>
      </c>
      <c r="X10" s="4">
        <v>345.84199999999998</v>
      </c>
      <c r="Y10" s="4">
        <v>106.276</v>
      </c>
      <c r="Z10" s="4">
        <f>1313.893-W10-X10-Y10</f>
        <v>574.94100000000003</v>
      </c>
      <c r="AA10" s="5">
        <f t="shared" si="9"/>
        <v>1313.893</v>
      </c>
    </row>
    <row r="11" spans="1:27" x14ac:dyDescent="0.2">
      <c r="A11" s="1" t="s">
        <v>21</v>
      </c>
      <c r="C11" s="4"/>
      <c r="D11" s="4"/>
      <c r="E11" s="4"/>
      <c r="F11" s="4">
        <v>40782.1</v>
      </c>
      <c r="G11" s="5">
        <f>+F11</f>
        <v>40782.1</v>
      </c>
      <c r="H11" s="4"/>
      <c r="I11" s="4">
        <v>53234.6</v>
      </c>
      <c r="J11" s="4">
        <v>50636.2</v>
      </c>
      <c r="K11" s="4">
        <v>48008.800000000003</v>
      </c>
      <c r="L11" s="5">
        <f>+K11</f>
        <v>48008.800000000003</v>
      </c>
      <c r="M11" s="4">
        <v>48033</v>
      </c>
      <c r="N11" s="4">
        <v>48725</v>
      </c>
      <c r="O11" s="4">
        <f>23147.69+32354.414</f>
        <v>55502.103999999999</v>
      </c>
      <c r="P11" s="4">
        <f>25867.422+32081.024</f>
        <v>57948.445999999996</v>
      </c>
      <c r="Q11" s="5">
        <f>+P11</f>
        <v>57948.445999999996</v>
      </c>
      <c r="R11" s="4">
        <f>23957.385+29085.954</f>
        <v>53043.339</v>
      </c>
      <c r="S11" s="4">
        <f>22786.512+30393.251</f>
        <v>53179.762999999999</v>
      </c>
      <c r="T11" s="4">
        <f>21858.681+31864.297</f>
        <v>53722.978000000003</v>
      </c>
      <c r="U11" s="4">
        <f>27979.71+26502.841</f>
        <v>54482.550999999999</v>
      </c>
      <c r="V11" s="5">
        <f>+U11</f>
        <v>54482.550999999999</v>
      </c>
      <c r="W11" s="4">
        <f>27002.525+23640.284</f>
        <v>50642.809000000001</v>
      </c>
      <c r="X11" s="4">
        <f>27880.721+22956.738</f>
        <v>50837.459000000003</v>
      </c>
      <c r="Y11" s="4">
        <f>27206.784+25819.321</f>
        <v>53026.104999999996</v>
      </c>
      <c r="Z11" s="4">
        <f>29033.479+24395.509</f>
        <v>53428.987999999998</v>
      </c>
      <c r="AA11" s="5">
        <f>+Z11</f>
        <v>53428.987999999998</v>
      </c>
    </row>
    <row r="12" spans="1:27" x14ac:dyDescent="0.2">
      <c r="A12" s="1" t="s">
        <v>22</v>
      </c>
      <c r="C12" s="6">
        <f t="shared" ref="C12:N12" si="10">+C8/C3</f>
        <v>8.5572922523332956E-2</v>
      </c>
      <c r="D12" s="6">
        <f t="shared" si="10"/>
        <v>9.790135293490998E-2</v>
      </c>
      <c r="E12" s="6">
        <f t="shared" si="10"/>
        <v>5.2650501338233534E-2</v>
      </c>
      <c r="F12" s="6">
        <f t="shared" si="10"/>
        <v>5.3346838862159199E-2</v>
      </c>
      <c r="G12" s="7">
        <f t="shared" si="10"/>
        <v>7.1516453809763111E-2</v>
      </c>
      <c r="H12" s="6">
        <f t="shared" si="10"/>
        <v>7.3124179887868304E-2</v>
      </c>
      <c r="I12" s="6">
        <f t="shared" si="10"/>
        <v>8.8682923492595503E-2</v>
      </c>
      <c r="J12" s="6">
        <f t="shared" si="10"/>
        <v>7.234238054848742E-2</v>
      </c>
      <c r="K12" s="6">
        <f t="shared" si="10"/>
        <v>4.784987189252822E-2</v>
      </c>
      <c r="L12" s="7">
        <f t="shared" si="10"/>
        <v>7.0460534571464423E-2</v>
      </c>
      <c r="M12" s="6">
        <f t="shared" si="10"/>
        <v>6.9674906874365047E-2</v>
      </c>
      <c r="N12" s="6">
        <f t="shared" si="10"/>
        <v>7.3302980132450332E-2</v>
      </c>
      <c r="O12" s="6">
        <f t="shared" ref="O12:P12" si="11">+O8/O3</f>
        <v>7.0259240280960894E-2</v>
      </c>
      <c r="P12" s="6">
        <f t="shared" si="11"/>
        <v>0.10356758248704502</v>
      </c>
      <c r="Q12" s="7">
        <f>+Q8/Q3</f>
        <v>7.9415040176544327E-2</v>
      </c>
      <c r="R12" s="6">
        <f>+R8/R3</f>
        <v>8.1566919346068634E-2</v>
      </c>
      <c r="S12" s="6">
        <f>+S8/S3</f>
        <v>8.0675770854378201E-2</v>
      </c>
      <c r="T12" s="6">
        <f t="shared" ref="T12:U12" si="12">+T8/T3</f>
        <v>8.5557621801516368E-2</v>
      </c>
      <c r="U12" s="6">
        <f t="shared" si="12"/>
        <v>0.111419256062569</v>
      </c>
      <c r="V12" s="7">
        <f>+V8/V3</f>
        <v>8.9957912399624015E-2</v>
      </c>
      <c r="W12" s="6">
        <f>+W8/W3</f>
        <v>9.2148073783798315E-2</v>
      </c>
      <c r="X12" s="6">
        <f>+X8/X3</f>
        <v>8.9962117937088637E-2</v>
      </c>
      <c r="Y12" s="6">
        <f t="shared" ref="Y12:Z12" si="13">+Y8/Y3</f>
        <v>8.9082000162958336E-2</v>
      </c>
      <c r="Z12" s="6">
        <f t="shared" si="13"/>
        <v>0.11045670327326751</v>
      </c>
      <c r="AA12" s="7">
        <f>+AA8/AA3</f>
        <v>9.5861589358371316E-2</v>
      </c>
    </row>
    <row r="13" spans="1:27" x14ac:dyDescent="0.2">
      <c r="A13" s="1" t="s">
        <v>23</v>
      </c>
      <c r="C13" s="6">
        <f>+C10/C3</f>
        <v>3.0211027399827579E-2</v>
      </c>
      <c r="D13" s="6">
        <f t="shared" ref="D13:Q13" si="14">+D10/D3</f>
        <v>4.7015375874436278E-2</v>
      </c>
      <c r="E13" s="6">
        <f t="shared" si="14"/>
        <v>1.2223864498861503E-2</v>
      </c>
      <c r="F13" s="6">
        <f t="shared" si="14"/>
        <v>1.8401283025238458E-2</v>
      </c>
      <c r="G13" s="7">
        <f t="shared" si="14"/>
        <v>2.6764517302926855E-2</v>
      </c>
      <c r="H13" s="6">
        <f t="shared" si="14"/>
        <v>3.7496520736410993E-2</v>
      </c>
      <c r="I13" s="6">
        <f t="shared" si="14"/>
        <v>3.6321351619412426E-2</v>
      </c>
      <c r="J13" s="6">
        <f t="shared" si="14"/>
        <v>3.4916595985298275E-2</v>
      </c>
      <c r="K13" s="6">
        <f t="shared" si="14"/>
        <v>2.1224291946541098E-2</v>
      </c>
      <c r="L13" s="7">
        <f t="shared" si="14"/>
        <v>3.2321675062294962E-2</v>
      </c>
      <c r="M13" s="6">
        <f t="shared" si="14"/>
        <v>1.1259735861835422E-2</v>
      </c>
      <c r="N13" s="6">
        <f t="shared" si="14"/>
        <v>1.4155629139072848E-2</v>
      </c>
      <c r="O13" s="6">
        <f t="shared" si="14"/>
        <v>3.1105172662832309E-3</v>
      </c>
      <c r="P13" s="6">
        <f t="shared" si="14"/>
        <v>1.5723860265962761E-2</v>
      </c>
      <c r="Q13" s="7">
        <f t="shared" si="14"/>
        <v>1.1201090292441696E-2</v>
      </c>
      <c r="R13" s="6">
        <f t="shared" ref="R13:V13" si="15">+R10/R3</f>
        <v>1.1586916338670405E-2</v>
      </c>
      <c r="S13" s="6">
        <f t="shared" si="15"/>
        <v>1.6160367055915989E-2</v>
      </c>
      <c r="T13" s="6">
        <f t="shared" si="15"/>
        <v>4.8186260812367746E-3</v>
      </c>
      <c r="U13" s="6">
        <f t="shared" si="15"/>
        <v>2.2142638645740915E-2</v>
      </c>
      <c r="V13" s="7">
        <f t="shared" si="15"/>
        <v>1.3685523735240542E-2</v>
      </c>
      <c r="W13" s="6">
        <f t="shared" ref="W13:AA13" si="16">+W10/W3</f>
        <v>1.3780533258795316E-2</v>
      </c>
      <c r="X13" s="6">
        <f t="shared" si="16"/>
        <v>1.758929219885021E-2</v>
      </c>
      <c r="Y13" s="6">
        <f t="shared" si="16"/>
        <v>4.8214254281421787E-3</v>
      </c>
      <c r="Z13" s="6">
        <f t="shared" si="16"/>
        <v>2.4483840454930041E-2</v>
      </c>
      <c r="AA13" s="7">
        <f t="shared" si="16"/>
        <v>1.5277572968502778E-2</v>
      </c>
    </row>
    <row r="14" spans="1:27" x14ac:dyDescent="0.2">
      <c r="A14" s="1" t="s">
        <v>24</v>
      </c>
      <c r="C14" s="8">
        <v>86962868</v>
      </c>
      <c r="D14" s="8">
        <v>86962868</v>
      </c>
      <c r="E14" s="8">
        <v>86962868</v>
      </c>
      <c r="F14" s="8">
        <v>86962868</v>
      </c>
      <c r="G14" s="9">
        <v>86962868</v>
      </c>
      <c r="H14" s="8">
        <v>86962868</v>
      </c>
      <c r="I14" s="8">
        <v>86962868</v>
      </c>
      <c r="J14" s="8">
        <v>86962868</v>
      </c>
      <c r="K14" s="8">
        <v>86962868</v>
      </c>
      <c r="L14" s="9">
        <v>86962868</v>
      </c>
      <c r="M14" s="8">
        <v>86962868</v>
      </c>
      <c r="N14" s="8">
        <v>86962868</v>
      </c>
      <c r="O14" s="8">
        <v>86962868</v>
      </c>
      <c r="P14" s="8">
        <v>86962868</v>
      </c>
      <c r="Q14" s="9">
        <v>86962868</v>
      </c>
      <c r="R14" s="8">
        <v>86962868</v>
      </c>
      <c r="S14" s="8">
        <v>86962868</v>
      </c>
      <c r="T14" s="8">
        <v>86962868</v>
      </c>
      <c r="U14" s="8">
        <v>86962868</v>
      </c>
      <c r="V14" s="9">
        <v>86962868</v>
      </c>
      <c r="W14" s="8">
        <v>86962868</v>
      </c>
      <c r="X14" s="8">
        <v>86962868</v>
      </c>
      <c r="Y14" s="8">
        <v>86962868</v>
      </c>
      <c r="Z14" s="8">
        <v>86962868</v>
      </c>
      <c r="AA14" s="9">
        <v>86962868</v>
      </c>
    </row>
    <row r="15" spans="1:27" x14ac:dyDescent="0.2">
      <c r="A15" s="1" t="s">
        <v>25</v>
      </c>
      <c r="C15" s="10">
        <v>39931</v>
      </c>
      <c r="D15" s="10">
        <v>40008</v>
      </c>
      <c r="E15" s="10">
        <v>40106</v>
      </c>
      <c r="F15" s="10">
        <v>40232</v>
      </c>
      <c r="G15" s="11">
        <v>40232</v>
      </c>
      <c r="H15" s="10">
        <v>40304</v>
      </c>
      <c r="I15" s="10">
        <v>40746</v>
      </c>
      <c r="J15" s="10">
        <v>40470</v>
      </c>
      <c r="K15" s="10">
        <v>40596</v>
      </c>
      <c r="L15" s="11">
        <v>40596</v>
      </c>
      <c r="M15" s="10">
        <v>40673</v>
      </c>
      <c r="N15" s="10">
        <v>40750</v>
      </c>
      <c r="O15" s="10">
        <v>40841</v>
      </c>
      <c r="P15" s="10">
        <v>40988</v>
      </c>
      <c r="Q15" s="11">
        <f>+P15</f>
        <v>40988</v>
      </c>
      <c r="R15" s="10">
        <v>41058</v>
      </c>
      <c r="S15" s="10">
        <v>41117</v>
      </c>
      <c r="T15" s="10">
        <v>41226</v>
      </c>
      <c r="U15" s="10">
        <v>41359</v>
      </c>
      <c r="V15" s="12"/>
      <c r="W15" s="10">
        <v>41422</v>
      </c>
      <c r="X15" s="10">
        <v>41481</v>
      </c>
      <c r="Y15" s="10">
        <v>41590</v>
      </c>
      <c r="Z15" s="10">
        <v>41725</v>
      </c>
      <c r="AA15" s="12"/>
    </row>
    <row r="16" spans="1:27" x14ac:dyDescent="0.2">
      <c r="A16" s="1" t="s">
        <v>26</v>
      </c>
      <c r="C16" s="3">
        <v>0.72</v>
      </c>
      <c r="D16" s="3">
        <v>0.82</v>
      </c>
      <c r="E16" s="3">
        <v>0.99</v>
      </c>
      <c r="F16" s="3">
        <v>0.71</v>
      </c>
      <c r="G16" s="12">
        <v>0.71</v>
      </c>
      <c r="H16" s="3">
        <v>0.61</v>
      </c>
      <c r="I16" s="3">
        <v>0.59</v>
      </c>
      <c r="J16" s="3">
        <v>0.49</v>
      </c>
      <c r="K16" s="3">
        <v>0.36</v>
      </c>
      <c r="L16" s="12">
        <v>0.36</v>
      </c>
      <c r="M16" s="3">
        <v>0.28000000000000003</v>
      </c>
      <c r="N16" s="3">
        <v>0.21</v>
      </c>
      <c r="O16" s="3">
        <v>0.15</v>
      </c>
      <c r="P16" s="3">
        <v>0.14000000000000001</v>
      </c>
      <c r="Q16" s="12">
        <v>0.14000000000000001</v>
      </c>
      <c r="R16" s="3">
        <v>0.11</v>
      </c>
      <c r="S16" s="3">
        <v>0.09</v>
      </c>
      <c r="T16" s="3">
        <v>0.11</v>
      </c>
      <c r="U16" s="3">
        <v>0.19</v>
      </c>
      <c r="V16" s="12">
        <v>0.19</v>
      </c>
      <c r="W16" s="3">
        <v>0.16</v>
      </c>
      <c r="X16" s="3">
        <v>0.14000000000000001</v>
      </c>
      <c r="Y16" s="3">
        <v>0.26</v>
      </c>
      <c r="Z16" s="3">
        <v>0.46</v>
      </c>
      <c r="AA16" s="12">
        <v>0.46</v>
      </c>
    </row>
    <row r="17" spans="1:27" x14ac:dyDescent="0.2">
      <c r="A17" s="1" t="s">
        <v>27</v>
      </c>
      <c r="C17" s="8">
        <f t="shared" ref="C17:U17" si="17">+C16*C14/1000</f>
        <v>62613.26496</v>
      </c>
      <c r="D17" s="8">
        <f t="shared" si="17"/>
        <v>71309.551759999988</v>
      </c>
      <c r="E17" s="8">
        <f t="shared" si="17"/>
        <v>86093.239319999993</v>
      </c>
      <c r="F17" s="8">
        <f t="shared" si="17"/>
        <v>61743.636279999992</v>
      </c>
      <c r="G17" s="9">
        <f t="shared" si="17"/>
        <v>61743.636279999992</v>
      </c>
      <c r="H17" s="8">
        <f t="shared" si="17"/>
        <v>53047.349479999997</v>
      </c>
      <c r="I17" s="8">
        <f t="shared" si="17"/>
        <v>51308.092119999994</v>
      </c>
      <c r="J17" s="8">
        <f t="shared" si="17"/>
        <v>42611.805319999999</v>
      </c>
      <c r="K17" s="8">
        <f t="shared" si="17"/>
        <v>31306.63248</v>
      </c>
      <c r="L17" s="9">
        <f t="shared" si="17"/>
        <v>31306.63248</v>
      </c>
      <c r="M17" s="8">
        <f t="shared" si="17"/>
        <v>24349.603040000002</v>
      </c>
      <c r="N17" s="8">
        <f t="shared" si="17"/>
        <v>18262.202279999998</v>
      </c>
      <c r="O17" s="8">
        <f t="shared" si="17"/>
        <v>13044.430199999999</v>
      </c>
      <c r="P17" s="8">
        <f t="shared" si="17"/>
        <v>12174.801520000001</v>
      </c>
      <c r="Q17" s="9">
        <f t="shared" si="17"/>
        <v>12174.801520000001</v>
      </c>
      <c r="R17" s="8">
        <f t="shared" si="17"/>
        <v>9565.9154799999997</v>
      </c>
      <c r="S17" s="8">
        <f t="shared" si="17"/>
        <v>7826.6581200000001</v>
      </c>
      <c r="T17" s="8">
        <f t="shared" si="17"/>
        <v>9565.9154799999997</v>
      </c>
      <c r="U17" s="8">
        <f t="shared" si="17"/>
        <v>16522.944920000002</v>
      </c>
      <c r="V17" s="9">
        <v>18262</v>
      </c>
      <c r="W17" s="8">
        <f t="shared" ref="W17:Z17" si="18">+W16*W14/1000</f>
        <v>13914.05888</v>
      </c>
      <c r="X17" s="8">
        <f t="shared" si="18"/>
        <v>12174.801520000001</v>
      </c>
      <c r="Y17" s="8">
        <f t="shared" si="18"/>
        <v>22610.345679999999</v>
      </c>
      <c r="Z17" s="8">
        <f t="shared" si="18"/>
        <v>40002.919280000002</v>
      </c>
      <c r="AA17" s="9">
        <f>+Z17</f>
        <v>40002.919280000002</v>
      </c>
    </row>
    <row r="18" spans="1:27" x14ac:dyDescent="0.2">
      <c r="A18" s="1" t="s">
        <v>28</v>
      </c>
      <c r="C18" s="13">
        <f>+(C14*C16)/(C10*4)/1000</f>
        <v>19.420987890818857</v>
      </c>
      <c r="D18" s="13">
        <f>+(D14*D16)/((C10+D10)*2)/1000</f>
        <v>16.73933139906103</v>
      </c>
      <c r="E18" s="13">
        <f>+(E14*E16)/((D10+E10+C10)/0.75)/1000</f>
        <v>26.506539199507387</v>
      </c>
      <c r="G18" s="14">
        <f>+(G14*G16)/(G10*1000)</f>
        <v>19.988227996115246</v>
      </c>
      <c r="H18" s="13">
        <f>+(H14*H16)/(H10/(C10/G10))/1000</f>
        <v>14.678075928741087</v>
      </c>
      <c r="I18" s="13">
        <f>+(I14*I16)/((I10+H10)/((C10+D10)/G10))/1000</f>
        <v>17.645468106296253</v>
      </c>
      <c r="J18" s="13">
        <f>+(J14*J16)/((J10+I10+H10)/((D10+E10+C10)/G10))/1000</f>
        <v>11.227487830893214</v>
      </c>
      <c r="L18" s="14">
        <f>+(L14*L16)/(L10*1000)</f>
        <v>8.6818171048252921</v>
      </c>
      <c r="M18" s="13">
        <f>+(M14*M16)/(M10/(H10/L10))/1000</f>
        <v>23.938460613597226</v>
      </c>
      <c r="N18" s="13">
        <f>+(N14*N16)/((N10+M10)/((H10+I10)/L10))/1000</f>
        <v>16.700836494822223</v>
      </c>
      <c r="O18" s="13">
        <f>+(O14*O16)/((O10+N10+M10)/((I10+J10+H10)/L10))/1000</f>
        <v>15.968739964330672</v>
      </c>
      <c r="Q18" s="14">
        <f>+(Q14*Q16)/(Q10*1000)</f>
        <v>11.506264537823387</v>
      </c>
      <c r="R18" s="13">
        <f>+(R14*R16)/(R10/(M10/Q10))/1000</f>
        <v>8.975714338413459</v>
      </c>
      <c r="S18" s="13">
        <f>+(S14*S16)/((S10+R10)/((M10+N10)/Q10))/1000</f>
        <v>7.2186270006967925</v>
      </c>
      <c r="T18" s="13">
        <f>+(T14*T16)/((T10+S10+R10)/((N10+O10+M10)/Q10))/1000</f>
        <v>8.3633725924651525</v>
      </c>
      <c r="V18" s="14">
        <f>+(V14*V16)/(V10*1000)</f>
        <v>13.249380685813902</v>
      </c>
      <c r="W18" s="13">
        <f>+(W14*W16)/(W10/(R10/V10))/1000</f>
        <v>10.42180515446786</v>
      </c>
      <c r="X18" s="13">
        <f>+(X14*X16)/((X10+W10)/((R10+S10)/V10))/1000</f>
        <v>9.6136090960238132</v>
      </c>
      <c r="Y18" s="13">
        <f>+(Y14*Y16)/((Y10+X10+W10)/((S10+T10+R10)/V10))/1000</f>
        <v>17.982584688573734</v>
      </c>
      <c r="AA18" s="14">
        <f>+(AA14*AA16)/(AA10*1000)</f>
        <v>30.446101227421106</v>
      </c>
    </row>
    <row r="19" spans="1:27" x14ac:dyDescent="0.2">
      <c r="A19" s="1" t="s">
        <v>29</v>
      </c>
      <c r="G19" s="14">
        <f>+(G16*G14)/(G10*1000)</f>
        <v>19.988227996115246</v>
      </c>
      <c r="H19" s="13">
        <f>+H16/((H10+F10+E10+D10)/H14)/1000</f>
        <v>16.438596058258444</v>
      </c>
      <c r="I19" s="13">
        <f>+I16/((I10+H10+F10+E10)/I14)/1000</f>
        <v>17.304584188870152</v>
      </c>
      <c r="J19" s="13">
        <f>+J16/((J10+I10+H10+F10)/J14)/1000</f>
        <v>11.684070556621879</v>
      </c>
      <c r="L19" s="14">
        <f>+(L16*L14)/(L10*1000)</f>
        <v>8.6818171048252921</v>
      </c>
      <c r="M19" s="13">
        <f>+M16/((M10+K10+J10+I10)/M14)/1000</f>
        <v>8.3132820211676339</v>
      </c>
      <c r="N19" s="13">
        <f>+N16/((N10+M10+K10+J10)/N14)/1000</f>
        <v>8.2671807514712548</v>
      </c>
      <c r="O19" s="13">
        <f>+O16/((O10+N10+M10+K10)/O14)/1000</f>
        <v>10.10405829858661</v>
      </c>
      <c r="Q19" s="14">
        <f>+(Q16*Q14)/(Q10*1000)</f>
        <v>11.506264537823387</v>
      </c>
      <c r="R19" s="13">
        <f>+R16/((R10+P10+O10+N10)/R14)/1000</f>
        <v>9.0242272170682583</v>
      </c>
      <c r="S19" s="13">
        <f>+S16/((S10+R10+P10+O10)/S14)/1000</f>
        <v>7.29339430220032</v>
      </c>
      <c r="T19" s="13">
        <f>+T16/((T10+S10+R10+P10)/T14)/1000</f>
        <v>8.5946588655776655</v>
      </c>
      <c r="V19" s="14">
        <f>+(V16*V14)/(V10*1000)</f>
        <v>13.249380685813902</v>
      </c>
      <c r="W19" s="13">
        <f>+W16/((W10+U10+T10+S10)/W14)/1000</f>
        <v>10.990715420349245</v>
      </c>
      <c r="X19" s="13">
        <f>+X16/((X10+W10+U10+T10)/X14)/1000</f>
        <v>9.6876441891090792</v>
      </c>
      <c r="Y19" s="13">
        <f>+Y16/((Y10+X10+W10+U10)/Y14)/1000</f>
        <v>18.043370204235693</v>
      </c>
      <c r="AA19" s="14">
        <f>+(AA16*AA14)/(AA10*1000)</f>
        <v>30.446101227421106</v>
      </c>
    </row>
    <row r="20" spans="1:27" ht="120" x14ac:dyDescent="0.2">
      <c r="A20" s="15"/>
      <c r="I20" s="16" t="s">
        <v>30</v>
      </c>
      <c r="J20" s="16" t="s">
        <v>31</v>
      </c>
      <c r="K20" s="16" t="s">
        <v>32</v>
      </c>
    </row>
  </sheetData>
  <printOptions horizontalCentered="1" verticalCentered="1"/>
  <pageMargins left="0" right="0" top="0.39370078740157483" bottom="0" header="0" footer="0"/>
  <pageSetup paperSize="9" orientation="landscape" r:id="rId1"/>
  <headerFooter>
    <oddHeader>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Panrico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2013-03-27T11:59:54Z</cp:lastPrinted>
  <dcterms:created xsi:type="dcterms:W3CDTF">2012-06-01T12:21:42Z</dcterms:created>
  <dcterms:modified xsi:type="dcterms:W3CDTF">2014-04-07T10:31:24Z</dcterms:modified>
</cp:coreProperties>
</file>